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cagatayguley/Downloads/"/>
    </mc:Choice>
  </mc:AlternateContent>
  <xr:revisionPtr revIDLastSave="0" documentId="13_ncr:1_{61D93340-3BB8-AD41-9E38-83BEE36EACBC}" xr6:coauthVersionLast="47" xr6:coauthVersionMax="47" xr10:uidLastSave="{00000000-0000-0000-0000-000000000000}"/>
  <bookViews>
    <workbookView xWindow="5060" yWindow="1060" windowWidth="21600" windowHeight="16440" xr2:uid="{9F55572C-5375-9D4E-A0FB-D4D2FB9A0A06}"/>
  </bookViews>
  <sheets>
    <sheet name="COST" sheetId="1" r:id="rId1"/>
    <sheet name="EXCAVATOR" sheetId="2" r:id="rId2"/>
    <sheet name="TRUCK" sheetId="3" r:id="rId3"/>
    <sheet name="FUEL" sheetId="4" r:id="rId4"/>
    <sheet name="EXPLOSIVE" sheetId="5" r:id="rId5"/>
    <sheet name="ELECTRICITY" sheetId="6" r:id="rId6"/>
  </sheets>
  <externalReferences>
    <externalReference r:id="rId7"/>
  </externalReferences>
  <definedNames>
    <definedName name="ELEKTRİK">[1]VERİLER!$B$5</definedName>
    <definedName name="KUR">[1]VERİLER!$B$2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3" i="1"/>
  <c r="G2" i="1"/>
  <c r="H7" i="4"/>
  <c r="J7" i="4" s="1"/>
  <c r="H6" i="4"/>
  <c r="J6" i="4" s="1"/>
  <c r="H5" i="4"/>
  <c r="J5" i="4" s="1"/>
  <c r="H4" i="4"/>
  <c r="H3" i="4"/>
  <c r="J3" i="4" s="1"/>
  <c r="H2" i="4"/>
  <c r="H1" i="4"/>
  <c r="D7" i="4"/>
  <c r="D6" i="4"/>
  <c r="D5" i="4"/>
  <c r="D3" i="4"/>
  <c r="B28" i="1"/>
  <c r="B25" i="1"/>
  <c r="B5" i="6" l="1"/>
  <c r="B3" i="6"/>
  <c r="B2" i="6"/>
  <c r="B4" i="6" l="1"/>
  <c r="B6" i="6" s="1"/>
  <c r="B42" i="1" s="1"/>
  <c r="F7" i="4"/>
  <c r="F6" i="4"/>
  <c r="F5" i="4"/>
  <c r="F4" i="4"/>
  <c r="F3" i="4"/>
  <c r="F2" i="4"/>
  <c r="F1" i="4"/>
  <c r="C19" i="1" l="1"/>
  <c r="B4" i="2"/>
  <c r="B5" i="2" s="1"/>
  <c r="B19" i="3" s="1"/>
  <c r="B31" i="1"/>
  <c r="E31" i="1" s="1"/>
  <c r="E18" i="1"/>
  <c r="B11" i="3"/>
  <c r="B6" i="3"/>
  <c r="B7" i="3"/>
  <c r="B8" i="3"/>
  <c r="B4" i="3"/>
  <c r="B3" i="3"/>
  <c r="B2" i="3"/>
  <c r="D3" i="1"/>
  <c r="B7" i="1"/>
  <c r="B5" i="1"/>
  <c r="B9" i="2"/>
  <c r="B14" i="3" s="1"/>
  <c r="E42" i="1"/>
  <c r="D34" i="1"/>
  <c r="D33" i="1"/>
  <c r="E45" i="1"/>
  <c r="E46" i="1"/>
  <c r="E43" i="1"/>
  <c r="E32" i="1"/>
  <c r="E28" i="1"/>
  <c r="E27" i="1"/>
  <c r="E26" i="1"/>
  <c r="E25" i="1"/>
  <c r="E24" i="1"/>
  <c r="E15" i="1"/>
  <c r="E16" i="1"/>
  <c r="E17" i="1"/>
  <c r="E19" i="1"/>
  <c r="B2" i="5" l="1"/>
  <c r="B44" i="1" s="1"/>
  <c r="E44" i="1" s="1"/>
  <c r="B18" i="3"/>
  <c r="B2" i="2"/>
  <c r="B3" i="2" s="1"/>
  <c r="B5" i="3"/>
  <c r="B9" i="3" s="1"/>
  <c r="B13" i="3" s="1"/>
  <c r="B15" i="3" s="1"/>
  <c r="B16" i="3" s="1"/>
  <c r="B17" i="3" s="1"/>
  <c r="B20" i="3" s="1"/>
  <c r="B21" i="3" s="1"/>
  <c r="B23" i="3" l="1"/>
  <c r="B13" i="1" s="1"/>
  <c r="D1" i="4" s="1"/>
  <c r="J1" i="4" s="1"/>
  <c r="B4" i="5"/>
  <c r="B3" i="5" s="1"/>
  <c r="B12" i="1"/>
  <c r="D2" i="4" s="1"/>
  <c r="J2" i="4" s="1"/>
  <c r="E12" i="1" l="1"/>
  <c r="B14" i="1"/>
  <c r="B30" i="1" s="1"/>
  <c r="B1" i="5"/>
  <c r="E13" i="1"/>
  <c r="E14" i="1" l="1"/>
  <c r="D4" i="4"/>
  <c r="J4" i="4" s="1"/>
  <c r="J8" i="4" s="1"/>
  <c r="B41" i="1" s="1"/>
  <c r="E41" i="1" s="1"/>
  <c r="E47" i="1" s="1"/>
  <c r="B29" i="1"/>
  <c r="E29" i="1" s="1"/>
  <c r="E30" i="1"/>
  <c r="E20" i="1" l="1"/>
  <c r="H4" i="1"/>
  <c r="F42" i="1"/>
  <c r="F45" i="1"/>
  <c r="F46" i="1"/>
  <c r="F44" i="1"/>
  <c r="F47" i="1"/>
  <c r="F41" i="1"/>
  <c r="F43" i="1"/>
  <c r="B34" i="1"/>
  <c r="E34" i="1" s="1"/>
  <c r="B33" i="1"/>
  <c r="E33" i="1" s="1"/>
  <c r="B36" i="1"/>
  <c r="C36" i="1" s="1"/>
  <c r="E36" i="1" s="1"/>
  <c r="B35" i="1"/>
  <c r="E35" i="1" s="1"/>
  <c r="F15" i="1" l="1"/>
  <c r="H2" i="1"/>
  <c r="F18" i="1"/>
  <c r="F19" i="1"/>
  <c r="F16" i="1"/>
  <c r="F20" i="1"/>
  <c r="F17" i="1"/>
  <c r="F13" i="1"/>
  <c r="F12" i="1"/>
  <c r="F14" i="1"/>
  <c r="E37" i="1"/>
  <c r="F33" i="1" s="1"/>
  <c r="F36" i="1" l="1"/>
  <c r="F35" i="1"/>
  <c r="B8" i="1"/>
  <c r="F37" i="1"/>
  <c r="F32" i="1"/>
  <c r="F24" i="1"/>
  <c r="F25" i="1"/>
  <c r="F31" i="1"/>
  <c r="F26" i="1"/>
  <c r="F27" i="1"/>
  <c r="F28" i="1"/>
  <c r="H3" i="1"/>
  <c r="F30" i="1"/>
  <c r="F29" i="1"/>
  <c r="F34" i="1"/>
  <c r="H5" i="1" l="1"/>
  <c r="I5" i="1" l="1"/>
  <c r="I2" i="1"/>
  <c r="I4" i="1"/>
  <c r="I3" i="1"/>
</calcChain>
</file>

<file path=xl/sharedStrings.xml><?xml version="1.0" encoding="utf-8"?>
<sst xmlns="http://schemas.openxmlformats.org/spreadsheetml/2006/main" count="233" uniqueCount="134">
  <si>
    <t>Project Cost</t>
  </si>
  <si>
    <t>Loader</t>
  </si>
  <si>
    <t>Rock Drill</t>
  </si>
  <si>
    <t>USD/ton</t>
  </si>
  <si>
    <t>m3</t>
  </si>
  <si>
    <t>ton/m3</t>
  </si>
  <si>
    <t>km</t>
  </si>
  <si>
    <t>Total Number of Excavators (N)</t>
  </si>
  <si>
    <t>Hourly Excavator Workload (A)</t>
  </si>
  <si>
    <t>Annual Excavator Workload (A)</t>
  </si>
  <si>
    <t>Bucket Volume</t>
  </si>
  <si>
    <t>Bucket Cycle Time</t>
  </si>
  <si>
    <t>Bucket Fill Factor (η) (0.8-1)</t>
  </si>
  <si>
    <t>Jobsite Efficiency</t>
  </si>
  <si>
    <t>Material Density</t>
  </si>
  <si>
    <t>Swelling Factor</t>
  </si>
  <si>
    <t>Truck Empty Weight</t>
  </si>
  <si>
    <t>Truck Maximum Load Carrying Capacity</t>
  </si>
  <si>
    <t>Truck Maximum Loading Volume</t>
  </si>
  <si>
    <t>Truck Transportation Route Characteristics</t>
  </si>
  <si>
    <t>Road Length</t>
  </si>
  <si>
    <t>Road Gradient</t>
  </si>
  <si>
    <t>Rolling Resistance</t>
  </si>
  <si>
    <t>Average Speed Factor</t>
  </si>
  <si>
    <t>Inside Bench</t>
  </si>
  <si>
    <t>Outside Bench</t>
  </si>
  <si>
    <t>Casting Yard</t>
  </si>
  <si>
    <t>units</t>
  </si>
  <si>
    <t>m³/hour</t>
  </si>
  <si>
    <t>m³/year</t>
  </si>
  <si>
    <t>m³</t>
  </si>
  <si>
    <t>sec</t>
  </si>
  <si>
    <t>Excavator Calculation</t>
  </si>
  <si>
    <t>Bucket Capacity</t>
  </si>
  <si>
    <t>Soil Swell Factor</t>
  </si>
  <si>
    <t>Bucket Weight</t>
  </si>
  <si>
    <t>Bucket Fill Factor</t>
  </si>
  <si>
    <t>Truck Capacity</t>
  </si>
  <si>
    <t>Truck Loading Time (t1)</t>
  </si>
  <si>
    <t>Maneuver Time (t2)</t>
  </si>
  <si>
    <t>Loaded - Empty Time (t3)</t>
  </si>
  <si>
    <t>Dumping Time (t4)</t>
  </si>
  <si>
    <t>Total Time (t)</t>
  </si>
  <si>
    <t>Site Efficiency</t>
  </si>
  <si>
    <t>Truck Workload</t>
  </si>
  <si>
    <t>Excavator Workload</t>
  </si>
  <si>
    <t>Required Number of Trucks (n)</t>
  </si>
  <si>
    <t>Required Number of Trucks per Excavator (n)</t>
  </si>
  <si>
    <t>Excavator-Truck Loading Ratio</t>
  </si>
  <si>
    <t>Total Number of Trucks</t>
  </si>
  <si>
    <t>Road Type</t>
  </si>
  <si>
    <t>Length (km)</t>
  </si>
  <si>
    <t>Grade (%)</t>
  </si>
  <si>
    <t>Max. Speed</t>
  </si>
  <si>
    <t>Average Speed</t>
  </si>
  <si>
    <t>Average Speed Factor**</t>
  </si>
  <si>
    <t>Inside Mine</t>
  </si>
  <si>
    <t>Outside Mine</t>
  </si>
  <si>
    <t>Dumping Area</t>
  </si>
  <si>
    <t>Truck Calculation</t>
  </si>
  <si>
    <t>Return Speed (km/hr)*</t>
  </si>
  <si>
    <t>Outbound Speed (km/hr)</t>
  </si>
  <si>
    <t>Outbound Time (sec)</t>
  </si>
  <si>
    <t>Return Time (sec)</t>
  </si>
  <si>
    <t>m3/hr</t>
  </si>
  <si>
    <t>m3/year</t>
  </si>
  <si>
    <t>Annual Working Time</t>
  </si>
  <si>
    <t>days</t>
  </si>
  <si>
    <t>Daily Working Time</t>
  </si>
  <si>
    <t>hours</t>
  </si>
  <si>
    <t>tons/year</t>
  </si>
  <si>
    <t>Stripping Ratio (ton/ton)</t>
  </si>
  <si>
    <t>Annual Stripping Quantity</t>
  </si>
  <si>
    <t>Equipment Cost (USD/year)</t>
  </si>
  <si>
    <t>Item</t>
  </si>
  <si>
    <t>Quantity</t>
  </si>
  <si>
    <t>Unit Price</t>
  </si>
  <si>
    <t>Duration</t>
  </si>
  <si>
    <t>Total Price</t>
  </si>
  <si>
    <t>Excavator</t>
  </si>
  <si>
    <t>Truck</t>
  </si>
  <si>
    <t>Water Truck</t>
  </si>
  <si>
    <t>Fuel Tanker</t>
  </si>
  <si>
    <t>Other Vehicles</t>
  </si>
  <si>
    <t>TOTAL</t>
  </si>
  <si>
    <t>Labor Cost (USD/year)</t>
  </si>
  <si>
    <t>Project Manager</t>
  </si>
  <si>
    <t>Mining Engineer</t>
  </si>
  <si>
    <t>Geology</t>
  </si>
  <si>
    <t>Surveyor</t>
  </si>
  <si>
    <t>Foremen</t>
  </si>
  <si>
    <t>Laborer</t>
  </si>
  <si>
    <t>Operator</t>
  </si>
  <si>
    <t>Driver</t>
  </si>
  <si>
    <t>Accountant</t>
  </si>
  <si>
    <t>Food</t>
  </si>
  <si>
    <t>Accommodation</t>
  </si>
  <si>
    <t>Insurance</t>
  </si>
  <si>
    <t>Compensation</t>
  </si>
  <si>
    <t>Consumables Cost (USD/year)</t>
  </si>
  <si>
    <t>Fuel (LT)</t>
  </si>
  <si>
    <t>Electricity (kWh)</t>
  </si>
  <si>
    <t>Water (LT)</t>
  </si>
  <si>
    <t>Explosive Material (kg)</t>
  </si>
  <si>
    <t>Maintenance</t>
  </si>
  <si>
    <t>HSE</t>
  </si>
  <si>
    <t>Annual Ore Production Volume</t>
  </si>
  <si>
    <t>Annual Ore Production Quantity</t>
  </si>
  <si>
    <t>Annual Stripping Volume</t>
  </si>
  <si>
    <t>Ore Density (tons/m3)</t>
  </si>
  <si>
    <t>Stripping Density (ton/m3)</t>
  </si>
  <si>
    <t>tons</t>
  </si>
  <si>
    <t>tons/hr</t>
  </si>
  <si>
    <t>Financing Expenses</t>
  </si>
  <si>
    <t>days/year</t>
  </si>
  <si>
    <t>LT/year</t>
  </si>
  <si>
    <t>kVA</t>
  </si>
  <si>
    <t>kW</t>
  </si>
  <si>
    <t>kWh</t>
  </si>
  <si>
    <t>ANFO</t>
  </si>
  <si>
    <t>Dynamite</t>
  </si>
  <si>
    <t>Capsule</t>
  </si>
  <si>
    <t>Hole</t>
  </si>
  <si>
    <t>kg</t>
  </si>
  <si>
    <t>Active Power Factor Correction (PFC) (Factor 0.8)</t>
  </si>
  <si>
    <t>Transformer Power</t>
  </si>
  <si>
    <t>Daily Consumption</t>
  </si>
  <si>
    <t>Yearly Working Days</t>
  </si>
  <si>
    <t>Yearly Consumption</t>
  </si>
  <si>
    <t>Ore Unit Cost</t>
  </si>
  <si>
    <t>unit(s)</t>
  </si>
  <si>
    <t>LT/hr</t>
  </si>
  <si>
    <t>hr/day</t>
  </si>
  <si>
    <t>Perc. Dist.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</si>
</sst>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sz val="12"/>
      <color rgb="FF000000"/>
      <name val="Aptos Narrow"/>
      <family val="2"/>
      <scheme val="minor"/>
    </font>
    <font>
      <b/>
      <sz val="10"/>
      <color theme="1"/>
      <name val="Aptos Narrow"/>
    </font>
    <font>
      <sz val="11"/>
      <color theme="1"/>
      <name val="Aptos Narrow"/>
    </font>
    <font>
      <sz val="12"/>
      <color theme="1"/>
      <name val="Aptos Narrow"/>
    </font>
    <font>
      <sz val="10"/>
      <color theme="1"/>
      <name val="Aptos Narrow"/>
    </font>
    <font>
      <b/>
      <sz val="11"/>
      <color theme="1"/>
      <name val="Aptos Narrow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/>
    <xf numFmtId="9" fontId="0" fillId="0" borderId="0" xfId="1" applyFont="1"/>
    <xf numFmtId="1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6" fillId="0" borderId="0" xfId="0" applyFont="1"/>
    <xf numFmtId="0" fontId="5" fillId="0" borderId="0" xfId="0" applyFont="1" applyBorder="1" applyAlignment="1">
      <alignment wrapText="1"/>
    </xf>
    <xf numFmtId="3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Border="1" applyAlignment="1">
      <alignment wrapText="1"/>
    </xf>
    <xf numFmtId="3" fontId="8" fillId="0" borderId="0" xfId="0" applyNumberFormat="1" applyFont="1" applyBorder="1"/>
    <xf numFmtId="0" fontId="8" fillId="0" borderId="0" xfId="0" applyFont="1" applyBorder="1"/>
    <xf numFmtId="10" fontId="0" fillId="0" borderId="0" xfId="1" applyNumberFormat="1" applyFont="1" applyAlignment="1">
      <alignment vertical="center"/>
    </xf>
    <xf numFmtId="9" fontId="0" fillId="0" borderId="0" xfId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CENK/esk/TUFANBEYL&#304;%20MAL&#304;YET%20G&#220;NCE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ÖZET"/>
      <sheetName val="SONUÇ"/>
      <sheetName val="SATIŞ"/>
      <sheetName val="VERİLER"/>
      <sheetName val="KONKASÖRE KADAR-KALKER CENK"/>
      <sheetName val="KONKASÖRDE-BOKSİT CENK"/>
      <sheetName val="KALKER-CENK"/>
      <sheetName val="BOKSİT-CENK"/>
      <sheetName val="LEASING"/>
      <sheetName val="SELÇUK BEY VERİLER"/>
      <sheetName val="TEKLİFLER-FİRMALARDAN"/>
      <sheetName val="TEKLİFLER-SAHİBİNDEN"/>
      <sheetName val="KONKASÖRE KADAR-KALKER"/>
      <sheetName val="KONKASÖRDE-BOKSİT"/>
      <sheetName val="FİYAT TEKLİFLERİ"/>
      <sheetName val="YAKIT TÜKETİMİ"/>
      <sheetName val="PATLAYICI MADDE HESABI"/>
      <sheetName val="KONKASÖR ELEKTRİK TÜKETİMİ"/>
    </sheetNames>
    <sheetDataSet>
      <sheetData sheetId="0" refreshError="1"/>
      <sheetData sheetId="1" refreshError="1"/>
      <sheetData sheetId="2" refreshError="1"/>
      <sheetData sheetId="3">
        <row r="1">
          <cell r="B1">
            <v>34.166666666666671</v>
          </cell>
        </row>
        <row r="2">
          <cell r="B2">
            <v>27.5</v>
          </cell>
        </row>
        <row r="5">
          <cell r="B5">
            <v>3.5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1A36-FE30-AE4A-92CC-64D8B241A320}">
  <dimension ref="A1:I47"/>
  <sheetViews>
    <sheetView tabSelected="1" workbookViewId="0">
      <selection sqref="A1:E1"/>
    </sheetView>
  </sheetViews>
  <sheetFormatPr baseColWidth="10" defaultRowHeight="16" x14ac:dyDescent="0.2"/>
  <cols>
    <col min="1" max="1" width="27" style="3" bestFit="1" customWidth="1"/>
    <col min="2" max="5" width="12.83203125" style="3" customWidth="1"/>
    <col min="6" max="6" width="10.83203125" style="7"/>
    <col min="7" max="7" width="26" style="3" bestFit="1" customWidth="1"/>
    <col min="8" max="8" width="11.1640625" style="3" bestFit="1" customWidth="1"/>
    <col min="9" max="16384" width="10.83203125" style="3"/>
  </cols>
  <sheetData>
    <row r="1" spans="1:9" x14ac:dyDescent="0.2">
      <c r="A1" s="25" t="s">
        <v>0</v>
      </c>
      <c r="B1" s="25"/>
      <c r="C1" s="25"/>
      <c r="D1" s="25"/>
      <c r="E1" s="25"/>
    </row>
    <row r="2" spans="1:9" x14ac:dyDescent="0.2">
      <c r="A2" s="3" t="s">
        <v>66</v>
      </c>
      <c r="B2" s="4">
        <v>300</v>
      </c>
      <c r="C2" s="3" t="s">
        <v>67</v>
      </c>
      <c r="D2" s="25" t="s">
        <v>71</v>
      </c>
      <c r="E2" s="25"/>
      <c r="G2" s="3" t="str">
        <f>A10</f>
        <v>Equipment Cost (USD/year)</v>
      </c>
      <c r="H2" s="4">
        <f>E20</f>
        <v>1073142.857142857</v>
      </c>
      <c r="I2" s="43">
        <f t="shared" ref="I2:I3" si="0">H2/$H$5</f>
        <v>0.15979034961583949</v>
      </c>
    </row>
    <row r="3" spans="1:9" x14ac:dyDescent="0.2">
      <c r="A3" s="3" t="s">
        <v>68</v>
      </c>
      <c r="B3" s="4">
        <v>8</v>
      </c>
      <c r="C3" s="3" t="s">
        <v>69</v>
      </c>
      <c r="D3" s="27">
        <f>B6/B4</f>
        <v>2</v>
      </c>
      <c r="E3" s="27"/>
      <c r="G3" s="3" t="str">
        <f>A22</f>
        <v>Labor Cost (USD/year)</v>
      </c>
      <c r="H3" s="4">
        <f>E37</f>
        <v>2637750</v>
      </c>
      <c r="I3" s="43">
        <f t="shared" si="0"/>
        <v>0.39275944660466777</v>
      </c>
    </row>
    <row r="4" spans="1:9" x14ac:dyDescent="0.2">
      <c r="A4" s="3" t="s">
        <v>107</v>
      </c>
      <c r="B4" s="4">
        <v>1000000</v>
      </c>
      <c r="C4" s="3" t="s">
        <v>70</v>
      </c>
      <c r="D4" s="25" t="s">
        <v>109</v>
      </c>
      <c r="E4" s="25"/>
      <c r="G4" s="3" t="str">
        <f>A39</f>
        <v>Consumables Cost (USD/year)</v>
      </c>
      <c r="H4" s="4">
        <f>E47</f>
        <v>3005050</v>
      </c>
      <c r="I4" s="43">
        <f>H4/$H$5</f>
        <v>0.44745020377949274</v>
      </c>
    </row>
    <row r="5" spans="1:9" x14ac:dyDescent="0.2">
      <c r="A5" s="3" t="s">
        <v>106</v>
      </c>
      <c r="B5" s="4">
        <f>B4/D5</f>
        <v>312500</v>
      </c>
      <c r="C5" s="3" t="s">
        <v>65</v>
      </c>
      <c r="D5" s="26">
        <v>3.2</v>
      </c>
      <c r="E5" s="26"/>
      <c r="H5" s="35">
        <f>SUM(H2:H4)</f>
        <v>6715942.8571428573</v>
      </c>
      <c r="I5" s="46">
        <f>H5/$H$5</f>
        <v>1</v>
      </c>
    </row>
    <row r="6" spans="1:9" x14ac:dyDescent="0.2">
      <c r="A6" s="3" t="s">
        <v>72</v>
      </c>
      <c r="B6" s="4">
        <v>2000000</v>
      </c>
      <c r="C6" s="3" t="s">
        <v>70</v>
      </c>
      <c r="D6" s="25" t="s">
        <v>110</v>
      </c>
      <c r="E6" s="25"/>
    </row>
    <row r="7" spans="1:9" x14ac:dyDescent="0.2">
      <c r="A7" s="3" t="s">
        <v>108</v>
      </c>
      <c r="B7" s="4">
        <f>B6/D7</f>
        <v>800000</v>
      </c>
      <c r="C7" s="3" t="s">
        <v>65</v>
      </c>
      <c r="D7" s="26">
        <v>2.5</v>
      </c>
      <c r="E7" s="26"/>
    </row>
    <row r="8" spans="1:9" x14ac:dyDescent="0.2">
      <c r="A8" s="20" t="s">
        <v>129</v>
      </c>
      <c r="B8" s="21">
        <f>(E20+E37+E47)/B4</f>
        <v>6.7159428571428572</v>
      </c>
      <c r="C8" s="20" t="s">
        <v>3</v>
      </c>
    </row>
    <row r="9" spans="1:9" x14ac:dyDescent="0.2">
      <c r="A9" s="5"/>
      <c r="B9" s="22"/>
      <c r="C9" s="5"/>
    </row>
    <row r="10" spans="1:9" x14ac:dyDescent="0.2">
      <c r="A10" s="25" t="s">
        <v>73</v>
      </c>
      <c r="B10" s="25"/>
      <c r="C10" s="25"/>
      <c r="D10" s="25"/>
      <c r="E10" s="25"/>
    </row>
    <row r="11" spans="1:9" x14ac:dyDescent="0.2">
      <c r="A11" s="5" t="s">
        <v>74</v>
      </c>
      <c r="B11" s="6" t="s">
        <v>75</v>
      </c>
      <c r="C11" s="6" t="s">
        <v>76</v>
      </c>
      <c r="D11" s="6" t="s">
        <v>77</v>
      </c>
      <c r="E11" s="6" t="s">
        <v>78</v>
      </c>
      <c r="F11" s="6" t="s">
        <v>133</v>
      </c>
    </row>
    <row r="12" spans="1:9" x14ac:dyDescent="0.2">
      <c r="A12" s="3" t="s">
        <v>79</v>
      </c>
      <c r="B12" s="7">
        <f>EXCAVATOR!B3</f>
        <v>4</v>
      </c>
      <c r="C12" s="8">
        <v>4000</v>
      </c>
      <c r="D12" s="7">
        <v>12</v>
      </c>
      <c r="E12" s="8">
        <f>D12*C12*B12</f>
        <v>192000</v>
      </c>
      <c r="F12" s="44">
        <f>E12/$E$20</f>
        <v>0.17891373801916935</v>
      </c>
    </row>
    <row r="13" spans="1:9" x14ac:dyDescent="0.2">
      <c r="A13" s="3" t="s">
        <v>80</v>
      </c>
      <c r="B13" s="7">
        <f>TRUCK!B23</f>
        <v>20</v>
      </c>
      <c r="C13" s="8">
        <v>2500</v>
      </c>
      <c r="D13" s="7">
        <v>12</v>
      </c>
      <c r="E13" s="8">
        <f t="shared" ref="E13:E19" si="1">D13*C13*B13</f>
        <v>600000</v>
      </c>
      <c r="F13" s="44">
        <f t="shared" ref="F13:F20" si="2">E13/$E$20</f>
        <v>0.5591054313099042</v>
      </c>
    </row>
    <row r="14" spans="1:9" x14ac:dyDescent="0.2">
      <c r="A14" s="3" t="s">
        <v>1</v>
      </c>
      <c r="B14" s="7">
        <f>B12</f>
        <v>4</v>
      </c>
      <c r="C14" s="8">
        <v>3000</v>
      </c>
      <c r="D14" s="7">
        <v>12</v>
      </c>
      <c r="E14" s="8">
        <f t="shared" si="1"/>
        <v>144000</v>
      </c>
      <c r="F14" s="44">
        <f t="shared" si="2"/>
        <v>0.13418530351437702</v>
      </c>
    </row>
    <row r="15" spans="1:9" x14ac:dyDescent="0.2">
      <c r="A15" s="3" t="s">
        <v>2</v>
      </c>
      <c r="B15" s="7">
        <v>1</v>
      </c>
      <c r="C15" s="8">
        <v>3500</v>
      </c>
      <c r="D15" s="7">
        <v>12</v>
      </c>
      <c r="E15" s="8">
        <f t="shared" si="1"/>
        <v>42000</v>
      </c>
      <c r="F15" s="44">
        <f t="shared" si="2"/>
        <v>3.9137380191693293E-2</v>
      </c>
    </row>
    <row r="16" spans="1:9" x14ac:dyDescent="0.2">
      <c r="A16" s="3" t="s">
        <v>81</v>
      </c>
      <c r="B16" s="7">
        <v>2</v>
      </c>
      <c r="C16" s="8">
        <v>1500</v>
      </c>
      <c r="D16" s="7">
        <v>12</v>
      </c>
      <c r="E16" s="8">
        <f t="shared" si="1"/>
        <v>36000</v>
      </c>
      <c r="F16" s="44">
        <f t="shared" si="2"/>
        <v>3.3546325878594255E-2</v>
      </c>
    </row>
    <row r="17" spans="1:6" x14ac:dyDescent="0.2">
      <c r="A17" s="3" t="s">
        <v>82</v>
      </c>
      <c r="B17" s="7">
        <v>1</v>
      </c>
      <c r="C17" s="8">
        <v>1500</v>
      </c>
      <c r="D17" s="7">
        <v>12</v>
      </c>
      <c r="E17" s="8">
        <f t="shared" si="1"/>
        <v>18000</v>
      </c>
      <c r="F17" s="44">
        <f t="shared" si="2"/>
        <v>1.6773162939297127E-2</v>
      </c>
    </row>
    <row r="18" spans="1:6" x14ac:dyDescent="0.2">
      <c r="A18" s="3" t="s">
        <v>83</v>
      </c>
      <c r="B18" s="7">
        <v>1</v>
      </c>
      <c r="C18" s="8">
        <v>1000</v>
      </c>
      <c r="D18" s="7">
        <v>12</v>
      </c>
      <c r="E18" s="8">
        <f t="shared" ref="E18" si="3">D18*C18*B18</f>
        <v>12000</v>
      </c>
      <c r="F18" s="44">
        <f t="shared" si="2"/>
        <v>1.1182108626198084E-2</v>
      </c>
    </row>
    <row r="19" spans="1:6" x14ac:dyDescent="0.2">
      <c r="A19" s="3" t="s">
        <v>113</v>
      </c>
      <c r="B19" s="7">
        <v>1</v>
      </c>
      <c r="C19" s="8">
        <f>AVERAGE(C12:C18)</f>
        <v>2428.5714285714284</v>
      </c>
      <c r="D19" s="7">
        <v>12</v>
      </c>
      <c r="E19" s="8">
        <f t="shared" si="1"/>
        <v>29142.857142857141</v>
      </c>
      <c r="F19" s="44">
        <f t="shared" si="2"/>
        <v>2.7156549520766776E-2</v>
      </c>
    </row>
    <row r="20" spans="1:6" x14ac:dyDescent="0.2">
      <c r="A20" s="28" t="s">
        <v>84</v>
      </c>
      <c r="B20" s="28"/>
      <c r="C20" s="28"/>
      <c r="D20" s="28"/>
      <c r="E20" s="9">
        <f>SUM(E12:E19)</f>
        <v>1073142.857142857</v>
      </c>
      <c r="F20" s="45">
        <f t="shared" si="2"/>
        <v>1</v>
      </c>
    </row>
    <row r="22" spans="1:6" x14ac:dyDescent="0.2">
      <c r="A22" s="25" t="s">
        <v>85</v>
      </c>
      <c r="B22" s="25"/>
      <c r="C22" s="25"/>
      <c r="D22" s="25"/>
      <c r="E22" s="25"/>
    </row>
    <row r="23" spans="1:6" x14ac:dyDescent="0.2">
      <c r="A23" s="5" t="s">
        <v>74</v>
      </c>
      <c r="B23" s="6" t="s">
        <v>75</v>
      </c>
      <c r="C23" s="6" t="s">
        <v>76</v>
      </c>
      <c r="D23" s="6" t="s">
        <v>77</v>
      </c>
      <c r="E23" s="6" t="s">
        <v>78</v>
      </c>
      <c r="F23" s="6" t="s">
        <v>133</v>
      </c>
    </row>
    <row r="24" spans="1:6" x14ac:dyDescent="0.2">
      <c r="A24" s="3" t="s">
        <v>86</v>
      </c>
      <c r="B24" s="8">
        <v>1</v>
      </c>
      <c r="C24" s="8">
        <v>5000</v>
      </c>
      <c r="D24" s="8">
        <v>12</v>
      </c>
      <c r="E24" s="8">
        <f>D24*C24*B24</f>
        <v>60000</v>
      </c>
      <c r="F24" s="44">
        <f>E24/$E$37</f>
        <v>2.2746659084446973E-2</v>
      </c>
    </row>
    <row r="25" spans="1:6" x14ac:dyDescent="0.2">
      <c r="A25" s="3" t="s">
        <v>87</v>
      </c>
      <c r="B25" s="8">
        <f>B3/4</f>
        <v>2</v>
      </c>
      <c r="C25" s="8">
        <v>4500</v>
      </c>
      <c r="D25" s="8">
        <v>12</v>
      </c>
      <c r="E25" s="8">
        <f t="shared" ref="E25:E30" si="4">D25*C25*B25</f>
        <v>108000</v>
      </c>
      <c r="F25" s="44">
        <f t="shared" ref="F25:F36" si="5">E25/$E$37</f>
        <v>4.0943986352004552E-2</v>
      </c>
    </row>
    <row r="26" spans="1:6" x14ac:dyDescent="0.2">
      <c r="A26" s="3" t="s">
        <v>88</v>
      </c>
      <c r="B26" s="8">
        <v>1</v>
      </c>
      <c r="C26" s="8">
        <v>4250</v>
      </c>
      <c r="D26" s="8">
        <v>12</v>
      </c>
      <c r="E26" s="8">
        <f t="shared" si="4"/>
        <v>51000</v>
      </c>
      <c r="F26" s="44">
        <f t="shared" si="5"/>
        <v>1.9334660221779928E-2</v>
      </c>
    </row>
    <row r="27" spans="1:6" x14ac:dyDescent="0.2">
      <c r="A27" s="3" t="s">
        <v>89</v>
      </c>
      <c r="B27" s="8">
        <v>1</v>
      </c>
      <c r="C27" s="8">
        <v>4000</v>
      </c>
      <c r="D27" s="8">
        <v>12</v>
      </c>
      <c r="E27" s="8">
        <f t="shared" si="4"/>
        <v>48000</v>
      </c>
      <c r="F27" s="44">
        <f t="shared" si="5"/>
        <v>1.8197327267557576E-2</v>
      </c>
    </row>
    <row r="28" spans="1:6" x14ac:dyDescent="0.2">
      <c r="A28" s="3" t="s">
        <v>90</v>
      </c>
      <c r="B28" s="8">
        <f>B3/8</f>
        <v>1</v>
      </c>
      <c r="C28" s="8">
        <v>3000</v>
      </c>
      <c r="D28" s="8">
        <v>12</v>
      </c>
      <c r="E28" s="8">
        <f t="shared" si="4"/>
        <v>36000</v>
      </c>
      <c r="F28" s="44">
        <f t="shared" si="5"/>
        <v>1.3647995450668183E-2</v>
      </c>
    </row>
    <row r="29" spans="1:6" x14ac:dyDescent="0.2">
      <c r="A29" s="3" t="s">
        <v>91</v>
      </c>
      <c r="B29" s="8">
        <f>B30/2</f>
        <v>14.5</v>
      </c>
      <c r="C29" s="8">
        <v>2500</v>
      </c>
      <c r="D29" s="8">
        <v>12</v>
      </c>
      <c r="E29" s="8">
        <f t="shared" si="4"/>
        <v>435000</v>
      </c>
      <c r="F29" s="44">
        <f t="shared" si="5"/>
        <v>0.16491327836224054</v>
      </c>
    </row>
    <row r="30" spans="1:6" x14ac:dyDescent="0.2">
      <c r="A30" s="3" t="s">
        <v>92</v>
      </c>
      <c r="B30" s="8">
        <f>B12+B13+B14+B15</f>
        <v>29</v>
      </c>
      <c r="C30" s="8">
        <v>2750</v>
      </c>
      <c r="D30" s="8">
        <v>12</v>
      </c>
      <c r="E30" s="8">
        <f t="shared" si="4"/>
        <v>957000</v>
      </c>
      <c r="F30" s="44">
        <f t="shared" si="5"/>
        <v>0.3628092123969292</v>
      </c>
    </row>
    <row r="31" spans="1:6" x14ac:dyDescent="0.2">
      <c r="A31" s="3" t="s">
        <v>93</v>
      </c>
      <c r="B31" s="8">
        <f>B16+B17+B18</f>
        <v>4</v>
      </c>
      <c r="C31" s="8">
        <v>2500</v>
      </c>
      <c r="D31" s="8">
        <v>12</v>
      </c>
      <c r="E31" s="8">
        <f t="shared" ref="E31:E36" si="6">D31*C31*B31</f>
        <v>120000</v>
      </c>
      <c r="F31" s="44">
        <f t="shared" si="5"/>
        <v>4.5493318168893945E-2</v>
      </c>
    </row>
    <row r="32" spans="1:6" x14ac:dyDescent="0.2">
      <c r="A32" s="3" t="s">
        <v>94</v>
      </c>
      <c r="B32" s="8">
        <v>1</v>
      </c>
      <c r="C32" s="8">
        <v>3000</v>
      </c>
      <c r="D32" s="8">
        <v>12</v>
      </c>
      <c r="E32" s="8">
        <f t="shared" si="6"/>
        <v>36000</v>
      </c>
      <c r="F32" s="44">
        <f t="shared" si="5"/>
        <v>1.3647995450668183E-2</v>
      </c>
    </row>
    <row r="33" spans="1:6" x14ac:dyDescent="0.2">
      <c r="A33" s="3" t="s">
        <v>95</v>
      </c>
      <c r="B33" s="8">
        <f>SUM(B24:B32)</f>
        <v>54.5</v>
      </c>
      <c r="C33" s="8">
        <v>10</v>
      </c>
      <c r="D33" s="8">
        <f>B2</f>
        <v>300</v>
      </c>
      <c r="E33" s="8">
        <f t="shared" si="6"/>
        <v>163500</v>
      </c>
      <c r="F33" s="44">
        <f t="shared" si="5"/>
        <v>6.1984646005118001E-2</v>
      </c>
    </row>
    <row r="34" spans="1:6" x14ac:dyDescent="0.2">
      <c r="A34" s="3" t="s">
        <v>96</v>
      </c>
      <c r="B34" s="8">
        <f>SUM(B24:B32)</f>
        <v>54.5</v>
      </c>
      <c r="C34" s="8">
        <v>5</v>
      </c>
      <c r="D34" s="8">
        <f>B2</f>
        <v>300</v>
      </c>
      <c r="E34" s="8">
        <f t="shared" si="6"/>
        <v>81750</v>
      </c>
      <c r="F34" s="44">
        <f t="shared" si="5"/>
        <v>3.0992323002559E-2</v>
      </c>
    </row>
    <row r="35" spans="1:6" x14ac:dyDescent="0.2">
      <c r="A35" s="3" t="s">
        <v>97</v>
      </c>
      <c r="B35" s="8">
        <f>SUM(B24:B32)</f>
        <v>54.5</v>
      </c>
      <c r="C35" s="8">
        <v>250</v>
      </c>
      <c r="D35" s="8">
        <v>12</v>
      </c>
      <c r="E35" s="8">
        <f t="shared" si="6"/>
        <v>163500</v>
      </c>
      <c r="F35" s="44">
        <f t="shared" si="5"/>
        <v>6.1984646005118001E-2</v>
      </c>
    </row>
    <row r="36" spans="1:6" x14ac:dyDescent="0.2">
      <c r="A36" s="3" t="s">
        <v>98</v>
      </c>
      <c r="B36" s="8">
        <f>SUM(B24:B32)</f>
        <v>54.5</v>
      </c>
      <c r="C36" s="8">
        <f>SUM(C24:C32)/B36</f>
        <v>577.98165137614683</v>
      </c>
      <c r="D36" s="8">
        <v>12</v>
      </c>
      <c r="E36" s="8">
        <f t="shared" si="6"/>
        <v>378000</v>
      </c>
      <c r="F36" s="44">
        <f t="shared" si="5"/>
        <v>0.14330395223201592</v>
      </c>
    </row>
    <row r="37" spans="1:6" x14ac:dyDescent="0.2">
      <c r="A37" s="28" t="s">
        <v>84</v>
      </c>
      <c r="B37" s="28"/>
      <c r="C37" s="28"/>
      <c r="D37" s="28"/>
      <c r="E37" s="9">
        <f>SUM(E24:E36)</f>
        <v>2637750</v>
      </c>
      <c r="F37" s="45">
        <f>E37/$E$37</f>
        <v>1</v>
      </c>
    </row>
    <row r="39" spans="1:6" x14ac:dyDescent="0.2">
      <c r="A39" s="25" t="s">
        <v>99</v>
      </c>
      <c r="B39" s="25"/>
      <c r="C39" s="25"/>
      <c r="D39" s="25"/>
      <c r="E39" s="25"/>
    </row>
    <row r="40" spans="1:6" x14ac:dyDescent="0.2">
      <c r="A40" s="5" t="s">
        <v>74</v>
      </c>
      <c r="B40" s="6" t="s">
        <v>75</v>
      </c>
      <c r="C40" s="6" t="s">
        <v>76</v>
      </c>
      <c r="D40" s="6" t="s">
        <v>77</v>
      </c>
      <c r="E40" s="6" t="s">
        <v>78</v>
      </c>
      <c r="F40" s="6" t="s">
        <v>133</v>
      </c>
    </row>
    <row r="41" spans="1:6" x14ac:dyDescent="0.2">
      <c r="A41" s="3" t="s">
        <v>100</v>
      </c>
      <c r="B41" s="8">
        <f>FUEL!J8</f>
        <v>1812000</v>
      </c>
      <c r="C41" s="10">
        <v>1</v>
      </c>
      <c r="D41" s="8">
        <v>1</v>
      </c>
      <c r="E41" s="8">
        <f t="shared" ref="E41:E44" si="7">D41*C41*B41</f>
        <v>1812000</v>
      </c>
      <c r="F41" s="44">
        <f>E41/$E$47</f>
        <v>0.60298497529159245</v>
      </c>
    </row>
    <row r="42" spans="1:6" x14ac:dyDescent="0.2">
      <c r="A42" s="3" t="s">
        <v>101</v>
      </c>
      <c r="B42" s="8">
        <f>ELECTRICITY!B6</f>
        <v>768000</v>
      </c>
      <c r="C42" s="10">
        <v>0.1</v>
      </c>
      <c r="D42" s="8">
        <v>1</v>
      </c>
      <c r="E42" s="8">
        <f t="shared" si="7"/>
        <v>76800</v>
      </c>
      <c r="F42" s="44">
        <f t="shared" ref="F42:F47" si="8">E42/$E$47</f>
        <v>2.5556979085206568E-2</v>
      </c>
    </row>
    <row r="43" spans="1:6" x14ac:dyDescent="0.2">
      <c r="A43" s="3" t="s">
        <v>102</v>
      </c>
      <c r="B43" s="8">
        <v>200000</v>
      </c>
      <c r="C43" s="10">
        <v>1</v>
      </c>
      <c r="D43" s="8">
        <v>1</v>
      </c>
      <c r="E43" s="8">
        <f t="shared" si="7"/>
        <v>200000</v>
      </c>
      <c r="F43" s="44">
        <f t="shared" si="8"/>
        <v>6.6554633034392102E-2</v>
      </c>
    </row>
    <row r="44" spans="1:6" x14ac:dyDescent="0.2">
      <c r="A44" s="3" t="s">
        <v>103</v>
      </c>
      <c r="B44" s="8">
        <f>EXPLOSIVE!B2</f>
        <v>556250</v>
      </c>
      <c r="C44" s="10">
        <v>1</v>
      </c>
      <c r="D44" s="8">
        <v>1</v>
      </c>
      <c r="E44" s="8">
        <f t="shared" si="7"/>
        <v>556250</v>
      </c>
      <c r="F44" s="44">
        <f t="shared" si="8"/>
        <v>0.18510507312690305</v>
      </c>
    </row>
    <row r="45" spans="1:6" x14ac:dyDescent="0.2">
      <c r="A45" s="3" t="s">
        <v>104</v>
      </c>
      <c r="B45" s="8">
        <v>1</v>
      </c>
      <c r="C45" s="8">
        <v>10000</v>
      </c>
      <c r="D45" s="8">
        <v>12</v>
      </c>
      <c r="E45" s="8">
        <f t="shared" ref="E45:E46" si="9">D45*C45*B45</f>
        <v>120000</v>
      </c>
      <c r="F45" s="44">
        <f t="shared" si="8"/>
        <v>3.9932779820635263E-2</v>
      </c>
    </row>
    <row r="46" spans="1:6" x14ac:dyDescent="0.2">
      <c r="A46" s="3" t="s">
        <v>105</v>
      </c>
      <c r="B46" s="8">
        <v>1</v>
      </c>
      <c r="C46" s="8">
        <v>20000</v>
      </c>
      <c r="D46" s="8">
        <v>12</v>
      </c>
      <c r="E46" s="8">
        <f t="shared" si="9"/>
        <v>240000</v>
      </c>
      <c r="F46" s="44">
        <f t="shared" si="8"/>
        <v>7.9865559641270525E-2</v>
      </c>
    </row>
    <row r="47" spans="1:6" x14ac:dyDescent="0.2">
      <c r="A47" s="28" t="s">
        <v>84</v>
      </c>
      <c r="B47" s="28"/>
      <c r="C47" s="28"/>
      <c r="D47" s="28"/>
      <c r="E47" s="9">
        <f>SUM(E41:E46)</f>
        <v>3005050</v>
      </c>
      <c r="F47" s="45">
        <f t="shared" si="8"/>
        <v>1</v>
      </c>
    </row>
  </sheetData>
  <mergeCells count="13">
    <mergeCell ref="A37:D37"/>
    <mergeCell ref="A47:D47"/>
    <mergeCell ref="A20:D20"/>
    <mergeCell ref="A10:E10"/>
    <mergeCell ref="A22:E22"/>
    <mergeCell ref="A39:E39"/>
    <mergeCell ref="A1:E1"/>
    <mergeCell ref="D5:E5"/>
    <mergeCell ref="D4:E4"/>
    <mergeCell ref="D6:E6"/>
    <mergeCell ref="D7:E7"/>
    <mergeCell ref="D2:E2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8661C-3202-294A-9646-9F29ACF250F1}">
  <dimension ref="A1:D33"/>
  <sheetViews>
    <sheetView workbookViewId="0">
      <selection activeCell="B8" sqref="B8"/>
    </sheetView>
  </sheetViews>
  <sheetFormatPr baseColWidth="10" defaultRowHeight="16" x14ac:dyDescent="0.2"/>
  <cols>
    <col min="1" max="1" width="35.5" bestFit="1" customWidth="1"/>
    <col min="2" max="2" width="15.1640625" bestFit="1" customWidth="1"/>
    <col min="4" max="4" width="12.6640625" bestFit="1" customWidth="1"/>
  </cols>
  <sheetData>
    <row r="1" spans="1:4" x14ac:dyDescent="0.2">
      <c r="A1" s="29" t="s">
        <v>32</v>
      </c>
      <c r="B1" s="29"/>
      <c r="C1" s="29"/>
    </row>
    <row r="2" spans="1:4" x14ac:dyDescent="0.2">
      <c r="A2" t="s">
        <v>7</v>
      </c>
      <c r="B2" s="14">
        <f>(COST!B7+COST!B5)/B5</f>
        <v>2.683508259680135</v>
      </c>
      <c r="C2" t="s">
        <v>27</v>
      </c>
    </row>
    <row r="3" spans="1:4" x14ac:dyDescent="0.2">
      <c r="A3" t="s">
        <v>7</v>
      </c>
      <c r="B3" s="14">
        <f>ROUNDUP(B2,0.1)+1</f>
        <v>4</v>
      </c>
      <c r="C3" t="s">
        <v>27</v>
      </c>
    </row>
    <row r="4" spans="1:4" x14ac:dyDescent="0.2">
      <c r="A4" t="s">
        <v>8</v>
      </c>
      <c r="B4" s="13">
        <f>(B6*B8*3600*B9)/(B11*B7)</f>
        <v>172.73718647764449</v>
      </c>
      <c r="C4" t="s">
        <v>28</v>
      </c>
      <c r="D4" s="1"/>
    </row>
    <row r="5" spans="1:4" x14ac:dyDescent="0.2">
      <c r="A5" t="s">
        <v>9</v>
      </c>
      <c r="B5" s="1">
        <f>COST!B2*COST!B3*B4</f>
        <v>414569.24754634674</v>
      </c>
      <c r="C5" t="s">
        <v>29</v>
      </c>
      <c r="D5" s="1"/>
    </row>
    <row r="6" spans="1:4" x14ac:dyDescent="0.2">
      <c r="A6" t="s">
        <v>10</v>
      </c>
      <c r="B6">
        <v>3.3</v>
      </c>
      <c r="C6" t="s">
        <v>30</v>
      </c>
    </row>
    <row r="7" spans="1:4" x14ac:dyDescent="0.2">
      <c r="A7" t="s">
        <v>11</v>
      </c>
      <c r="B7">
        <v>35</v>
      </c>
      <c r="C7" t="s">
        <v>31</v>
      </c>
    </row>
    <row r="8" spans="1:4" x14ac:dyDescent="0.2">
      <c r="A8" t="s">
        <v>12</v>
      </c>
      <c r="B8">
        <v>0.8</v>
      </c>
    </row>
    <row r="9" spans="1:4" x14ac:dyDescent="0.2">
      <c r="A9" t="s">
        <v>13</v>
      </c>
      <c r="B9" s="11">
        <f>50/60</f>
        <v>0.83333333333333337</v>
      </c>
    </row>
    <row r="10" spans="1:4" x14ac:dyDescent="0.2">
      <c r="A10" t="s">
        <v>14</v>
      </c>
      <c r="B10">
        <v>2</v>
      </c>
      <c r="C10" t="s">
        <v>5</v>
      </c>
    </row>
    <row r="11" spans="1:4" x14ac:dyDescent="0.2">
      <c r="A11" t="s">
        <v>15</v>
      </c>
      <c r="B11">
        <v>1.31</v>
      </c>
    </row>
    <row r="12" spans="1:4" x14ac:dyDescent="0.2">
      <c r="A12" t="s">
        <v>16</v>
      </c>
      <c r="B12">
        <v>25</v>
      </c>
      <c r="C12" t="s">
        <v>111</v>
      </c>
    </row>
    <row r="13" spans="1:4" x14ac:dyDescent="0.2">
      <c r="A13" t="s">
        <v>17</v>
      </c>
      <c r="B13">
        <v>40</v>
      </c>
      <c r="C13" t="s">
        <v>111</v>
      </c>
    </row>
    <row r="14" spans="1:4" x14ac:dyDescent="0.2">
      <c r="A14" t="s">
        <v>18</v>
      </c>
      <c r="B14">
        <v>25</v>
      </c>
      <c r="C14" t="s">
        <v>30</v>
      </c>
    </row>
    <row r="16" spans="1:4" x14ac:dyDescent="0.2">
      <c r="A16" s="29" t="s">
        <v>19</v>
      </c>
      <c r="B16" s="29"/>
      <c r="C16" s="29"/>
    </row>
    <row r="17" spans="1:3" x14ac:dyDescent="0.2">
      <c r="A17" s="2" t="s">
        <v>24</v>
      </c>
    </row>
    <row r="18" spans="1:3" x14ac:dyDescent="0.2">
      <c r="A18" t="s">
        <v>20</v>
      </c>
      <c r="B18">
        <v>0.5</v>
      </c>
      <c r="C18" t="s">
        <v>6</v>
      </c>
    </row>
    <row r="19" spans="1:3" x14ac:dyDescent="0.2">
      <c r="A19" t="s">
        <v>21</v>
      </c>
      <c r="B19" s="12">
        <v>0.06</v>
      </c>
    </row>
    <row r="20" spans="1:3" x14ac:dyDescent="0.2">
      <c r="A20" t="s">
        <v>22</v>
      </c>
      <c r="B20" s="12">
        <v>0.05</v>
      </c>
    </row>
    <row r="21" spans="1:3" x14ac:dyDescent="0.2">
      <c r="A21" t="s">
        <v>23</v>
      </c>
      <c r="B21">
        <v>0.8</v>
      </c>
    </row>
    <row r="23" spans="1:3" x14ac:dyDescent="0.2">
      <c r="A23" s="2" t="s">
        <v>25</v>
      </c>
    </row>
    <row r="24" spans="1:3" x14ac:dyDescent="0.2">
      <c r="A24" t="s">
        <v>20</v>
      </c>
      <c r="B24">
        <v>1.6</v>
      </c>
      <c r="C24" t="s">
        <v>6</v>
      </c>
    </row>
    <row r="25" spans="1:3" x14ac:dyDescent="0.2">
      <c r="A25" t="s">
        <v>21</v>
      </c>
      <c r="B25" s="12">
        <v>0.04</v>
      </c>
    </row>
    <row r="26" spans="1:3" x14ac:dyDescent="0.2">
      <c r="A26" t="s">
        <v>22</v>
      </c>
      <c r="B26" s="12">
        <v>0.03</v>
      </c>
    </row>
    <row r="27" spans="1:3" x14ac:dyDescent="0.2">
      <c r="A27" t="s">
        <v>23</v>
      </c>
      <c r="B27">
        <v>0.95</v>
      </c>
    </row>
    <row r="29" spans="1:3" x14ac:dyDescent="0.2">
      <c r="A29" s="2" t="s">
        <v>26</v>
      </c>
    </row>
    <row r="30" spans="1:3" x14ac:dyDescent="0.2">
      <c r="A30" t="s">
        <v>20</v>
      </c>
      <c r="B30">
        <v>0.4</v>
      </c>
      <c r="C30" t="s">
        <v>6</v>
      </c>
    </row>
    <row r="31" spans="1:3" x14ac:dyDescent="0.2">
      <c r="A31" t="s">
        <v>21</v>
      </c>
      <c r="B31" s="12">
        <v>0.02</v>
      </c>
    </row>
    <row r="32" spans="1:3" x14ac:dyDescent="0.2">
      <c r="A32" t="s">
        <v>22</v>
      </c>
      <c r="B32" s="12">
        <v>0.05</v>
      </c>
    </row>
    <row r="33" spans="1:2" x14ac:dyDescent="0.2">
      <c r="A33" t="s">
        <v>23</v>
      </c>
      <c r="B33">
        <v>0.75</v>
      </c>
    </row>
  </sheetData>
  <mergeCells count="2">
    <mergeCell ref="A1:C1"/>
    <mergeCell ref="A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5745-9FEA-4740-8CA5-B75F4EC19BD9}">
  <dimension ref="A1:Q30"/>
  <sheetViews>
    <sheetView workbookViewId="0">
      <selection activeCell="B23" sqref="B23"/>
    </sheetView>
  </sheetViews>
  <sheetFormatPr baseColWidth="10" defaultRowHeight="16" x14ac:dyDescent="0.2"/>
  <cols>
    <col min="1" max="1" width="37" style="3" bestFit="1" customWidth="1"/>
    <col min="2" max="2" width="11.6640625" style="3" bestFit="1" customWidth="1"/>
    <col min="3" max="4" width="10.83203125" style="3"/>
    <col min="5" max="5" width="19.1640625" style="3" customWidth="1"/>
    <col min="6" max="6" width="15.5" style="3" bestFit="1" customWidth="1"/>
    <col min="7" max="7" width="10.83203125" style="3"/>
    <col min="8" max="8" width="16.5" style="3" bestFit="1" customWidth="1"/>
    <col min="9" max="9" width="16.83203125" style="3" bestFit="1" customWidth="1"/>
    <col min="10" max="10" width="18.6640625" style="3" bestFit="1" customWidth="1"/>
    <col min="11" max="11" width="19.1640625" style="3" bestFit="1" customWidth="1"/>
    <col min="12" max="12" width="16.83203125" style="3" bestFit="1" customWidth="1"/>
    <col min="13" max="13" width="17.83203125" style="3" bestFit="1" customWidth="1"/>
    <col min="14" max="14" width="13.6640625" style="3" bestFit="1" customWidth="1"/>
    <col min="15" max="15" width="17" style="3" customWidth="1"/>
    <col min="16" max="16384" width="10.83203125" style="3"/>
  </cols>
  <sheetData>
    <row r="1" spans="1:17" x14ac:dyDescent="0.2">
      <c r="A1" s="25" t="s">
        <v>59</v>
      </c>
      <c r="B1" s="25"/>
      <c r="C1" s="25"/>
    </row>
    <row r="2" spans="1:17" ht="17" customHeight="1" x14ac:dyDescent="0.2">
      <c r="A2" s="3" t="s">
        <v>33</v>
      </c>
      <c r="B2" s="3">
        <f>EXCAVATOR!B6</f>
        <v>3.3</v>
      </c>
      <c r="C2" s="3" t="s">
        <v>4</v>
      </c>
      <c r="P2" s="18"/>
      <c r="Q2" s="18"/>
    </row>
    <row r="3" spans="1:17" x14ac:dyDescent="0.2">
      <c r="A3" s="3" t="s">
        <v>14</v>
      </c>
      <c r="B3" s="3">
        <f>(COST!D5+COST!D7)/2</f>
        <v>2.85</v>
      </c>
      <c r="C3" s="3" t="s">
        <v>5</v>
      </c>
      <c r="P3" s="18"/>
      <c r="Q3" s="18"/>
    </row>
    <row r="4" spans="1:17" x14ac:dyDescent="0.2">
      <c r="A4" s="3" t="s">
        <v>34</v>
      </c>
      <c r="B4" s="3">
        <f>EXCAVATOR!B11</f>
        <v>1.31</v>
      </c>
      <c r="P4" s="18"/>
      <c r="Q4" s="18"/>
    </row>
    <row r="5" spans="1:17" x14ac:dyDescent="0.2">
      <c r="A5" s="3" t="s">
        <v>35</v>
      </c>
      <c r="B5" s="15">
        <f>(B2*B3)/B4</f>
        <v>7.179389312977098</v>
      </c>
      <c r="C5" s="3" t="s">
        <v>111</v>
      </c>
      <c r="P5" s="18"/>
      <c r="Q5" s="18"/>
    </row>
    <row r="6" spans="1:17" x14ac:dyDescent="0.2">
      <c r="A6" s="3" t="s">
        <v>36</v>
      </c>
      <c r="B6" s="3">
        <f>EXCAVATOR!B8</f>
        <v>0.8</v>
      </c>
      <c r="P6" s="18"/>
      <c r="Q6" s="18"/>
    </row>
    <row r="7" spans="1:17" x14ac:dyDescent="0.2">
      <c r="A7" s="3" t="s">
        <v>37</v>
      </c>
      <c r="B7" s="3">
        <f>EXCAVATOR!B13</f>
        <v>40</v>
      </c>
      <c r="C7" s="16" t="s">
        <v>111</v>
      </c>
    </row>
    <row r="8" spans="1:17" x14ac:dyDescent="0.2">
      <c r="A8" s="3" t="s">
        <v>11</v>
      </c>
      <c r="B8" s="3">
        <f>EXCAVATOR!B7</f>
        <v>35</v>
      </c>
      <c r="C8" s="3" t="s">
        <v>31</v>
      </c>
    </row>
    <row r="9" spans="1:17" x14ac:dyDescent="0.2">
      <c r="A9" s="3" t="s">
        <v>38</v>
      </c>
      <c r="B9" s="17">
        <f>(B8*B7)/(B6*B5)</f>
        <v>243.75332270069117</v>
      </c>
      <c r="C9" s="3" t="s">
        <v>31</v>
      </c>
    </row>
    <row r="10" spans="1:17" x14ac:dyDescent="0.2">
      <c r="A10" s="3" t="s">
        <v>39</v>
      </c>
      <c r="B10" s="3">
        <v>60</v>
      </c>
      <c r="C10" s="3" t="s">
        <v>31</v>
      </c>
    </row>
    <row r="11" spans="1:17" x14ac:dyDescent="0.2">
      <c r="A11" s="3" t="s">
        <v>40</v>
      </c>
      <c r="B11" s="3">
        <f>J28+J29+J30+K28+K29+K30</f>
        <v>819</v>
      </c>
      <c r="C11" s="3" t="s">
        <v>31</v>
      </c>
    </row>
    <row r="12" spans="1:17" x14ac:dyDescent="0.2">
      <c r="A12" s="3" t="s">
        <v>41</v>
      </c>
      <c r="B12" s="3">
        <v>60</v>
      </c>
      <c r="C12" s="3" t="s">
        <v>31</v>
      </c>
    </row>
    <row r="13" spans="1:17" x14ac:dyDescent="0.2">
      <c r="A13" s="3" t="s">
        <v>42</v>
      </c>
      <c r="B13" s="17">
        <f>B9+B10+B11+B12</f>
        <v>1182.7533227006911</v>
      </c>
      <c r="C13" s="3" t="s">
        <v>31</v>
      </c>
    </row>
    <row r="14" spans="1:17" x14ac:dyDescent="0.2">
      <c r="A14" s="3" t="s">
        <v>43</v>
      </c>
      <c r="B14" s="15">
        <f>EXCAVATOR!B9</f>
        <v>0.83333333333333337</v>
      </c>
    </row>
    <row r="15" spans="1:17" x14ac:dyDescent="0.2">
      <c r="A15" s="3" t="s">
        <v>44</v>
      </c>
      <c r="B15" s="17">
        <f>(3600*B7*B14)/B13</f>
        <v>101.45818041414823</v>
      </c>
      <c r="C15" s="3" t="s">
        <v>112</v>
      </c>
    </row>
    <row r="16" spans="1:17" x14ac:dyDescent="0.2">
      <c r="A16" s="3" t="s">
        <v>44</v>
      </c>
      <c r="B16" s="17">
        <f>B15/B3</f>
        <v>35.599361548823943</v>
      </c>
      <c r="C16" s="3" t="s">
        <v>64</v>
      </c>
    </row>
    <row r="17" spans="1:11" x14ac:dyDescent="0.2">
      <c r="A17" s="3" t="s">
        <v>44</v>
      </c>
      <c r="B17" s="4">
        <f>B16*COST!B2*COST!B3</f>
        <v>85438.467717177467</v>
      </c>
      <c r="C17" s="3" t="s">
        <v>65</v>
      </c>
    </row>
    <row r="18" spans="1:11" x14ac:dyDescent="0.2">
      <c r="A18" s="3" t="s">
        <v>45</v>
      </c>
      <c r="B18" s="17">
        <f>EXCAVATOR!B4</f>
        <v>172.73718647764449</v>
      </c>
      <c r="C18" s="3" t="s">
        <v>64</v>
      </c>
    </row>
    <row r="19" spans="1:11" x14ac:dyDescent="0.2">
      <c r="A19" s="3" t="s">
        <v>45</v>
      </c>
      <c r="B19" s="4">
        <f>EXCAVATOR!B5</f>
        <v>414569.24754634674</v>
      </c>
      <c r="C19" s="3" t="s">
        <v>65</v>
      </c>
    </row>
    <row r="20" spans="1:11" x14ac:dyDescent="0.2">
      <c r="A20" s="3" t="s">
        <v>46</v>
      </c>
      <c r="B20" s="15">
        <f>B19/B17</f>
        <v>4.8522551799345681</v>
      </c>
      <c r="C20" s="3" t="s">
        <v>27</v>
      </c>
    </row>
    <row r="21" spans="1:11" x14ac:dyDescent="0.2">
      <c r="A21" s="3" t="s">
        <v>47</v>
      </c>
      <c r="B21" s="15">
        <f>ROUNDUP(B20,0.1)</f>
        <v>5</v>
      </c>
      <c r="C21" s="3" t="s">
        <v>27</v>
      </c>
    </row>
    <row r="22" spans="1:11" x14ac:dyDescent="0.2">
      <c r="A22" s="3" t="s">
        <v>48</v>
      </c>
      <c r="B22" s="3">
        <v>5</v>
      </c>
    </row>
    <row r="23" spans="1:11" x14ac:dyDescent="0.2">
      <c r="A23" s="3" t="s">
        <v>49</v>
      </c>
      <c r="B23" s="3">
        <f>(B21*EXCAVATOR!B3)</f>
        <v>20</v>
      </c>
      <c r="C23" s="3" t="s">
        <v>27</v>
      </c>
    </row>
    <row r="26" spans="1:11" x14ac:dyDescent="0.2">
      <c r="A26" s="30" t="s">
        <v>50</v>
      </c>
      <c r="B26" s="31" t="s">
        <v>51</v>
      </c>
      <c r="C26" s="31" t="s">
        <v>52</v>
      </c>
      <c r="D26" s="31" t="s">
        <v>22</v>
      </c>
      <c r="E26" s="31" t="s">
        <v>53</v>
      </c>
      <c r="F26" s="31"/>
      <c r="G26" s="31" t="s">
        <v>55</v>
      </c>
      <c r="H26" s="31" t="s">
        <v>54</v>
      </c>
      <c r="I26" s="31"/>
      <c r="J26" s="32"/>
      <c r="K26" s="32"/>
    </row>
    <row r="27" spans="1:11" ht="30" x14ac:dyDescent="0.2">
      <c r="A27" s="30"/>
      <c r="B27" s="31"/>
      <c r="C27" s="31"/>
      <c r="D27" s="31"/>
      <c r="E27" s="24" t="s">
        <v>61</v>
      </c>
      <c r="F27" s="24" t="s">
        <v>60</v>
      </c>
      <c r="G27" s="31"/>
      <c r="H27" s="24" t="s">
        <v>61</v>
      </c>
      <c r="I27" s="24" t="s">
        <v>60</v>
      </c>
      <c r="J27" s="24" t="s">
        <v>62</v>
      </c>
      <c r="K27" s="24" t="s">
        <v>63</v>
      </c>
    </row>
    <row r="28" spans="1:11" x14ac:dyDescent="0.2">
      <c r="A28" s="19" t="s">
        <v>56</v>
      </c>
      <c r="B28" s="33">
        <v>0.5</v>
      </c>
      <c r="C28" s="34">
        <v>0.06</v>
      </c>
      <c r="D28" s="34">
        <v>0.05</v>
      </c>
      <c r="E28" s="33">
        <v>12</v>
      </c>
      <c r="F28" s="33">
        <v>32</v>
      </c>
      <c r="G28" s="33">
        <v>0.8</v>
      </c>
      <c r="H28" s="33">
        <v>9.6</v>
      </c>
      <c r="I28" s="33">
        <v>25.6</v>
      </c>
      <c r="J28" s="33">
        <v>188</v>
      </c>
      <c r="K28" s="33">
        <v>70</v>
      </c>
    </row>
    <row r="29" spans="1:11" x14ac:dyDescent="0.2">
      <c r="A29" s="19" t="s">
        <v>57</v>
      </c>
      <c r="B29" s="33">
        <v>1.6</v>
      </c>
      <c r="C29" s="34">
        <v>0.04</v>
      </c>
      <c r="D29" s="34">
        <v>0.03</v>
      </c>
      <c r="E29" s="33">
        <v>24</v>
      </c>
      <c r="F29" s="33">
        <v>35</v>
      </c>
      <c r="G29" s="33">
        <v>0.95</v>
      </c>
      <c r="H29" s="33">
        <v>22.8</v>
      </c>
      <c r="I29" s="33">
        <v>33.299999999999997</v>
      </c>
      <c r="J29" s="33">
        <v>253</v>
      </c>
      <c r="K29" s="33">
        <v>173</v>
      </c>
    </row>
    <row r="30" spans="1:11" x14ac:dyDescent="0.2">
      <c r="A30" s="19" t="s">
        <v>58</v>
      </c>
      <c r="B30" s="33">
        <v>0.4</v>
      </c>
      <c r="C30" s="34">
        <v>0.02</v>
      </c>
      <c r="D30" s="34">
        <v>0.05</v>
      </c>
      <c r="E30" s="33">
        <v>24</v>
      </c>
      <c r="F30" s="33">
        <v>35</v>
      </c>
      <c r="G30" s="33">
        <v>0.75</v>
      </c>
      <c r="H30" s="33">
        <v>18</v>
      </c>
      <c r="I30" s="33">
        <v>26.3</v>
      </c>
      <c r="J30" s="33">
        <v>80</v>
      </c>
      <c r="K30" s="33">
        <v>55</v>
      </c>
    </row>
  </sheetData>
  <mergeCells count="9">
    <mergeCell ref="J26:K26"/>
    <mergeCell ref="A26:A27"/>
    <mergeCell ref="A1:C1"/>
    <mergeCell ref="B26:B27"/>
    <mergeCell ref="C26:C27"/>
    <mergeCell ref="D26:D27"/>
    <mergeCell ref="E26:F26"/>
    <mergeCell ref="G26:G27"/>
    <mergeCell ref="H26:I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E102-1A57-CE4C-9F31-EB27E5ED68D8}">
  <dimension ref="A1:K8"/>
  <sheetViews>
    <sheetView workbookViewId="0">
      <selection activeCell="A8" sqref="A8:G8"/>
    </sheetView>
  </sheetViews>
  <sheetFormatPr baseColWidth="10" defaultRowHeight="16" x14ac:dyDescent="0.2"/>
  <cols>
    <col min="1" max="1" width="13" style="3" bestFit="1" customWidth="1"/>
    <col min="2" max="16384" width="10.83203125" style="3"/>
  </cols>
  <sheetData>
    <row r="1" spans="1:11" x14ac:dyDescent="0.2">
      <c r="A1" s="3" t="s">
        <v>80</v>
      </c>
      <c r="B1" s="4">
        <v>25</v>
      </c>
      <c r="C1" s="3" t="s">
        <v>131</v>
      </c>
      <c r="D1" s="3">
        <f>COST!B13</f>
        <v>20</v>
      </c>
      <c r="E1" s="3" t="s">
        <v>130</v>
      </c>
      <c r="F1" s="4">
        <f>COST!B2</f>
        <v>300</v>
      </c>
      <c r="G1" s="3" t="s">
        <v>114</v>
      </c>
      <c r="H1" s="4">
        <f>COST!B3</f>
        <v>8</v>
      </c>
      <c r="I1" s="3" t="s">
        <v>132</v>
      </c>
      <c r="J1" s="4">
        <f>F1*B1*D1*H1</f>
        <v>1200000</v>
      </c>
      <c r="K1" s="3" t="s">
        <v>115</v>
      </c>
    </row>
    <row r="2" spans="1:11" x14ac:dyDescent="0.2">
      <c r="A2" s="3" t="s">
        <v>79</v>
      </c>
      <c r="B2" s="4">
        <v>30</v>
      </c>
      <c r="C2" s="3" t="s">
        <v>131</v>
      </c>
      <c r="D2" s="3">
        <f>COST!B12</f>
        <v>4</v>
      </c>
      <c r="E2" s="3" t="s">
        <v>130</v>
      </c>
      <c r="F2" s="4">
        <f>COST!B2</f>
        <v>300</v>
      </c>
      <c r="G2" s="3" t="s">
        <v>114</v>
      </c>
      <c r="H2" s="4">
        <f>COST!B3</f>
        <v>8</v>
      </c>
      <c r="I2" s="3" t="s">
        <v>132</v>
      </c>
      <c r="J2" s="4">
        <f t="shared" ref="J2:J7" si="0">F2*B2*D2*H2</f>
        <v>288000</v>
      </c>
      <c r="K2" s="3" t="s">
        <v>115</v>
      </c>
    </row>
    <row r="3" spans="1:11" x14ac:dyDescent="0.2">
      <c r="A3" s="3" t="s">
        <v>2</v>
      </c>
      <c r="B3" s="4">
        <v>20</v>
      </c>
      <c r="C3" s="3" t="s">
        <v>131</v>
      </c>
      <c r="D3" s="3">
        <f>COST!B15</f>
        <v>1</v>
      </c>
      <c r="E3" s="3" t="s">
        <v>130</v>
      </c>
      <c r="F3" s="4">
        <f>COST!B2</f>
        <v>300</v>
      </c>
      <c r="G3" s="3" t="s">
        <v>114</v>
      </c>
      <c r="H3" s="4">
        <f>COST!B3</f>
        <v>8</v>
      </c>
      <c r="I3" s="3" t="s">
        <v>132</v>
      </c>
      <c r="J3" s="4">
        <f t="shared" si="0"/>
        <v>48000</v>
      </c>
      <c r="K3" s="3" t="s">
        <v>115</v>
      </c>
    </row>
    <row r="4" spans="1:11" x14ac:dyDescent="0.2">
      <c r="A4" s="3" t="s">
        <v>1</v>
      </c>
      <c r="B4" s="4">
        <v>20</v>
      </c>
      <c r="C4" s="3" t="s">
        <v>131</v>
      </c>
      <c r="D4" s="3">
        <f>COST!B14</f>
        <v>4</v>
      </c>
      <c r="E4" s="3" t="s">
        <v>130</v>
      </c>
      <c r="F4" s="4">
        <f>COST!B2</f>
        <v>300</v>
      </c>
      <c r="G4" s="3" t="s">
        <v>114</v>
      </c>
      <c r="H4" s="4">
        <f>COST!B3</f>
        <v>8</v>
      </c>
      <c r="I4" s="3" t="s">
        <v>132</v>
      </c>
      <c r="J4" s="4">
        <f t="shared" si="0"/>
        <v>192000</v>
      </c>
      <c r="K4" s="3" t="s">
        <v>115</v>
      </c>
    </row>
    <row r="5" spans="1:11" x14ac:dyDescent="0.2">
      <c r="A5" s="3" t="s">
        <v>81</v>
      </c>
      <c r="B5" s="4">
        <v>10</v>
      </c>
      <c r="C5" s="3" t="s">
        <v>131</v>
      </c>
      <c r="D5" s="3">
        <f>COST!B16</f>
        <v>2</v>
      </c>
      <c r="E5" s="3" t="s">
        <v>130</v>
      </c>
      <c r="F5" s="4">
        <f>COST!B2</f>
        <v>300</v>
      </c>
      <c r="G5" s="3" t="s">
        <v>114</v>
      </c>
      <c r="H5" s="4">
        <f>COST!B3</f>
        <v>8</v>
      </c>
      <c r="I5" s="3" t="s">
        <v>132</v>
      </c>
      <c r="J5" s="4">
        <f t="shared" si="0"/>
        <v>48000</v>
      </c>
      <c r="K5" s="3" t="s">
        <v>115</v>
      </c>
    </row>
    <row r="6" spans="1:11" x14ac:dyDescent="0.2">
      <c r="A6" s="3" t="s">
        <v>82</v>
      </c>
      <c r="B6" s="4">
        <v>10</v>
      </c>
      <c r="C6" s="3" t="s">
        <v>131</v>
      </c>
      <c r="D6" s="3">
        <f>COST!B17</f>
        <v>1</v>
      </c>
      <c r="E6" s="3" t="s">
        <v>130</v>
      </c>
      <c r="F6" s="4">
        <f>COST!B2</f>
        <v>300</v>
      </c>
      <c r="G6" s="3" t="s">
        <v>114</v>
      </c>
      <c r="H6" s="4">
        <f>COST!B3</f>
        <v>8</v>
      </c>
      <c r="I6" s="3" t="s">
        <v>132</v>
      </c>
      <c r="J6" s="4">
        <f t="shared" si="0"/>
        <v>24000</v>
      </c>
      <c r="K6" s="3" t="s">
        <v>115</v>
      </c>
    </row>
    <row r="7" spans="1:11" x14ac:dyDescent="0.2">
      <c r="A7" s="3" t="s">
        <v>83</v>
      </c>
      <c r="B7" s="4">
        <v>5</v>
      </c>
      <c r="C7" s="3" t="s">
        <v>131</v>
      </c>
      <c r="D7" s="3">
        <f>COST!B18</f>
        <v>1</v>
      </c>
      <c r="E7" s="3" t="s">
        <v>130</v>
      </c>
      <c r="F7" s="4">
        <f>COST!B2</f>
        <v>300</v>
      </c>
      <c r="G7" s="3" t="s">
        <v>114</v>
      </c>
      <c r="H7" s="4">
        <f>COST!B3</f>
        <v>8</v>
      </c>
      <c r="I7" s="3" t="s">
        <v>132</v>
      </c>
      <c r="J7" s="4">
        <f t="shared" si="0"/>
        <v>12000</v>
      </c>
      <c r="K7" s="3" t="s">
        <v>115</v>
      </c>
    </row>
    <row r="8" spans="1:11" x14ac:dyDescent="0.2">
      <c r="A8" s="28" t="s">
        <v>84</v>
      </c>
      <c r="B8" s="28"/>
      <c r="C8" s="28"/>
      <c r="D8" s="28"/>
      <c r="E8" s="28"/>
      <c r="F8" s="28"/>
      <c r="G8" s="28"/>
      <c r="H8" s="23"/>
      <c r="I8" s="23"/>
      <c r="J8" s="35">
        <f>SUM(J1:J7)</f>
        <v>1812000</v>
      </c>
      <c r="K8" s="5" t="s">
        <v>115</v>
      </c>
    </row>
  </sheetData>
  <mergeCells count="1">
    <mergeCell ref="A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B4102-4BB0-404A-AE84-B467C1261BCF}">
  <dimension ref="A1:C5"/>
  <sheetViews>
    <sheetView workbookViewId="0">
      <selection activeCell="D7" sqref="D7"/>
    </sheetView>
  </sheetViews>
  <sheetFormatPr baseColWidth="10" defaultRowHeight="16" x14ac:dyDescent="0.2"/>
  <sheetData>
    <row r="1" spans="1:3" x14ac:dyDescent="0.2">
      <c r="A1" t="s">
        <v>122</v>
      </c>
      <c r="B1" s="1">
        <f>B4</f>
        <v>18541.666666666668</v>
      </c>
      <c r="C1" t="s">
        <v>27</v>
      </c>
    </row>
    <row r="2" spans="1:3" x14ac:dyDescent="0.2">
      <c r="A2" t="s">
        <v>119</v>
      </c>
      <c r="B2" s="1">
        <f>(COST!B5+COST!B7)/2</f>
        <v>556250</v>
      </c>
      <c r="C2" t="s">
        <v>123</v>
      </c>
    </row>
    <row r="3" spans="1:3" x14ac:dyDescent="0.2">
      <c r="A3" t="s">
        <v>120</v>
      </c>
      <c r="B3" s="1">
        <f>B4/2</f>
        <v>9270.8333333333339</v>
      </c>
      <c r="C3" t="s">
        <v>27</v>
      </c>
    </row>
    <row r="4" spans="1:3" x14ac:dyDescent="0.2">
      <c r="A4" t="s">
        <v>121</v>
      </c>
      <c r="B4" s="1">
        <f>B2/30</f>
        <v>18541.666666666668</v>
      </c>
      <c r="C4" t="s">
        <v>27</v>
      </c>
    </row>
    <row r="5" spans="1:3" x14ac:dyDescent="0.2">
      <c r="B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82B69-9C44-EC43-9A76-7BCC4524109B}">
  <dimension ref="A1:C6"/>
  <sheetViews>
    <sheetView workbookViewId="0">
      <selection activeCell="B5" sqref="B5"/>
    </sheetView>
  </sheetViews>
  <sheetFormatPr baseColWidth="10" defaultRowHeight="16" x14ac:dyDescent="0.2"/>
  <cols>
    <col min="1" max="1" width="37.5" style="36" customWidth="1"/>
    <col min="2" max="16384" width="10.83203125" style="36"/>
  </cols>
  <sheetData>
    <row r="1" spans="1:3" x14ac:dyDescent="0.2">
      <c r="A1" s="37" t="s">
        <v>125</v>
      </c>
      <c r="B1" s="38">
        <v>400</v>
      </c>
      <c r="C1" s="39" t="s">
        <v>116</v>
      </c>
    </row>
    <row r="2" spans="1:3" x14ac:dyDescent="0.2">
      <c r="A2" s="37" t="s">
        <v>124</v>
      </c>
      <c r="B2" s="38">
        <f>B1*0.8</f>
        <v>320</v>
      </c>
      <c r="C2" s="39" t="s">
        <v>117</v>
      </c>
    </row>
    <row r="3" spans="1:3" x14ac:dyDescent="0.2">
      <c r="A3" s="37" t="s">
        <v>68</v>
      </c>
      <c r="B3" s="38">
        <f>COST!B3</f>
        <v>8</v>
      </c>
      <c r="C3" s="39" t="s">
        <v>69</v>
      </c>
    </row>
    <row r="4" spans="1:3" x14ac:dyDescent="0.2">
      <c r="A4" s="37" t="s">
        <v>126</v>
      </c>
      <c r="B4" s="38">
        <f>B2*B3</f>
        <v>2560</v>
      </c>
      <c r="C4" s="39" t="s">
        <v>118</v>
      </c>
    </row>
    <row r="5" spans="1:3" x14ac:dyDescent="0.2">
      <c r="A5" s="37" t="s">
        <v>127</v>
      </c>
      <c r="B5" s="38">
        <f>COST!B2</f>
        <v>300</v>
      </c>
      <c r="C5" s="39" t="s">
        <v>67</v>
      </c>
    </row>
    <row r="6" spans="1:3" x14ac:dyDescent="0.2">
      <c r="A6" s="40" t="s">
        <v>128</v>
      </c>
      <c r="B6" s="41">
        <f>B4*B5</f>
        <v>768000</v>
      </c>
      <c r="C6" s="4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COST</vt:lpstr>
      <vt:lpstr>EXCAVATOR</vt:lpstr>
      <vt:lpstr>TRUCK</vt:lpstr>
      <vt:lpstr>FUEL</vt:lpstr>
      <vt:lpstr>EXPLOSIVE</vt:lpstr>
      <vt:lpstr>ELECTRICITY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Çağatay Güley</dc:creator>
  <cp:lastModifiedBy>Çağatay Güley</cp:lastModifiedBy>
  <dcterms:created xsi:type="dcterms:W3CDTF">2024-04-09T17:32:18Z</dcterms:created>
  <dcterms:modified xsi:type="dcterms:W3CDTF">2024-04-11T10:56:56Z</dcterms:modified>
</cp:coreProperties>
</file>